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My Rounds" sheetId="2" state="visible" r:id="rId2"/>
    <sheet name="Handicap Index" sheetId="3" state="visible" r:id="rId3"/>
    <sheet name="WHS Table" sheetId="4" state="visible" r:id="rId4"/>
    <sheet name="Course Handicap" sheetId="5" state="visible" r:id="rId5"/>
    <sheet name="Stableford" sheetId="6" state="visible" r:id="rId6"/>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color rgb="001B5E20"/>
      <sz val="18"/>
    </font>
    <font>
      <color rgb="00666666"/>
      <sz val="10"/>
    </font>
    <font>
      <b val="1"/>
      <color rgb="001B5E20"/>
      <sz val="12"/>
    </font>
    <font>
      <i val="1"/>
      <color rgb="00666666"/>
      <sz val="9"/>
    </font>
    <font>
      <b val="1"/>
      <color rgb="00FFFFFF"/>
      <sz val="11"/>
    </font>
    <font>
      <b val="1"/>
    </font>
    <font>
      <b val="1"/>
      <color rgb="001B5E20"/>
      <sz val="16"/>
    </font>
    <font>
      <b val="1"/>
      <color rgb="001B5E20"/>
      <sz val="13"/>
    </font>
    <font>
      <b val="1"/>
      <sz val="13"/>
    </font>
    <font>
      <b val="1"/>
      <color rgb="001B5E20"/>
    </font>
    <font>
      <b val="1"/>
      <sz val="12"/>
    </font>
  </fonts>
  <fills count="6">
    <fill>
      <patternFill/>
    </fill>
    <fill>
      <patternFill patternType="gray125"/>
    </fill>
    <fill>
      <patternFill patternType="solid">
        <fgColor rgb="001B5E20"/>
      </patternFill>
    </fill>
    <fill>
      <patternFill patternType="solid">
        <fgColor rgb="00FFF9E6"/>
      </patternFill>
    </fill>
    <fill>
      <patternFill patternType="solid">
        <fgColor rgb="00F1F6F2"/>
      </patternFill>
    </fill>
    <fill>
      <patternFill patternType="solid">
        <fgColor rgb="00D9EAD3"/>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pivotButton="0" quotePrefix="0" xfId="0"/>
    <xf numFmtId="0" fontId="4" fillId="0" borderId="0" pivotButton="0" quotePrefix="0" xfId="0"/>
    <xf numFmtId="0" fontId="5" fillId="2" borderId="1" applyAlignment="1" pivotButton="0" quotePrefix="0" xfId="0">
      <alignment horizontal="center" vertical="center" wrapText="1"/>
    </xf>
    <xf numFmtId="0" fontId="0" fillId="3" borderId="1" pivotButton="0" quotePrefix="0" xfId="0"/>
    <xf numFmtId="0" fontId="0" fillId="3" borderId="1" applyAlignment="1" pivotButton="0" quotePrefix="0" xfId="0">
      <alignment horizontal="center"/>
    </xf>
    <xf numFmtId="0" fontId="6" fillId="4" borderId="1" applyAlignment="1" pivotButton="0" quotePrefix="0" xfId="0">
      <alignment horizontal="center"/>
    </xf>
    <xf numFmtId="0" fontId="7" fillId="0" borderId="0" pivotButton="0" quotePrefix="0" xfId="0"/>
    <xf numFmtId="0" fontId="6" fillId="0" borderId="0" pivotButton="0" quotePrefix="0" xfId="0"/>
    <xf numFmtId="0" fontId="0" fillId="4" borderId="1" applyAlignment="1" pivotButton="0" quotePrefix="0" xfId="0">
      <alignment horizontal="center"/>
    </xf>
    <xf numFmtId="0" fontId="8" fillId="0" borderId="0" pivotButton="0" quotePrefix="0" xfId="0"/>
    <xf numFmtId="0" fontId="9" fillId="5" borderId="1" applyAlignment="1" pivotButton="0" quotePrefix="0" xfId="0">
      <alignment horizontal="center"/>
    </xf>
    <xf numFmtId="0" fontId="5" fillId="2" borderId="1" applyAlignment="1" pivotButton="0" quotePrefix="0" xfId="0">
      <alignment horizontal="center" wrapText="1"/>
    </xf>
    <xf numFmtId="0" fontId="0" fillId="0" borderId="1" applyAlignment="1" pivotButton="0" quotePrefix="0" xfId="0">
      <alignment horizontal="center"/>
    </xf>
    <xf numFmtId="0" fontId="10" fillId="0" borderId="0" pivotButton="0" quotePrefix="0" xfId="0"/>
    <xf numFmtId="0" fontId="11" fillId="5"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6"/>
  <sheetViews>
    <sheetView showGridLines="0" workbookViewId="0">
      <selection activeCell="A1" sqref="A1"/>
    </sheetView>
  </sheetViews>
  <sheetFormatPr baseColWidth="8" defaultRowHeight="15"/>
  <cols>
    <col width="3" customWidth="1" min="1" max="1"/>
    <col width="104" customWidth="1" min="2" max="2"/>
  </cols>
  <sheetData>
    <row r="2">
      <c r="B2" s="1" t="inlineStr">
        <is>
          <t>Golf Handicap Tracker</t>
        </is>
      </c>
    </row>
    <row r="3">
      <c r="B3" s="2" t="inlineStr">
        <is>
          <t>freegolfhandicapcalculator.com</t>
        </is>
      </c>
    </row>
    <row r="4" ht="15" customHeight="1">
      <c r="B4" s="3" t="inlineStr"/>
    </row>
    <row r="5">
      <c r="B5" s="4" t="inlineStr">
        <is>
          <t>What this does</t>
        </is>
      </c>
    </row>
    <row r="6" ht="30" customHeight="1">
      <c r="B6" s="3" t="inlineStr">
        <is>
          <t>Keeps your last 20 rounds, works out the Score Differential for each one, and gives you a Handicap Index using the World Handicap System method.</t>
        </is>
      </c>
    </row>
    <row r="7" ht="15" customHeight="1">
      <c r="B7" s="3" t="inlineStr"/>
    </row>
    <row r="8">
      <c r="B8" s="4" t="inlineStr">
        <is>
          <t>How to use it</t>
        </is>
      </c>
    </row>
    <row r="9" ht="15" customHeight="1">
      <c r="B9" s="3" t="inlineStr">
        <is>
          <t>1.  Open the 'My Rounds' sheet. It is filled with example rounds so you can see it working.</t>
        </is>
      </c>
    </row>
    <row r="10" ht="15" customHeight="1">
      <c r="B10" s="3" t="inlineStr">
        <is>
          <t>2.  Delete those and type your own. Only the yellow cells are yours to edit.</t>
        </is>
      </c>
    </row>
    <row r="11" ht="15" customHeight="1">
      <c r="B11" s="3" t="inlineStr">
        <is>
          <t>3.  Your Handicap Index appears on the 'Handicap Index' sheet.</t>
        </is>
      </c>
    </row>
    <row r="12" ht="15" customHeight="1">
      <c r="B12" s="3" t="inlineStr">
        <is>
          <t>4.  Use 'Course Handicap' to turn that Index into strokes for the course you are playing.</t>
        </is>
      </c>
    </row>
    <row r="13" ht="15" customHeight="1">
      <c r="B13" s="3" t="inlineStr"/>
    </row>
    <row r="14">
      <c r="B14" s="4" t="inlineStr">
        <is>
          <t>When you play round 21</t>
        </is>
      </c>
    </row>
    <row r="15" ht="30" customHeight="1">
      <c r="B15" s="3" t="inlineStr">
        <is>
          <t>Delete the oldest round and add the new one. The Index always uses your most recent 20 rounds, which is what the World Handicap System does.</t>
        </is>
      </c>
    </row>
    <row r="16" ht="15" customHeight="1">
      <c r="B16" s="3" t="inlineStr"/>
    </row>
    <row r="17">
      <c r="B17" s="4" t="inlineStr">
        <is>
          <t>Adjusted Gross Score</t>
        </is>
      </c>
    </row>
    <row r="18" ht="30" customHeight="1">
      <c r="B18" s="3" t="inlineStr">
        <is>
          <t>Enter your Adjusted Gross Score, not your raw score. On any hole where you scored worse than net double bogey, write down net double bogey instead. That is par, plus two, plus any handicap strokes you get on that hole.</t>
        </is>
      </c>
    </row>
    <row r="19" ht="15" customHeight="1">
      <c r="B19" s="3" t="inlineStr"/>
    </row>
    <row r="20">
      <c r="B20" s="4" t="inlineStr">
        <is>
          <t>PCC</t>
        </is>
      </c>
    </row>
    <row r="21" ht="30" customHeight="1">
      <c r="B21" s="3" t="inlineStr">
        <is>
          <t>The Playing Conditions Calculation. It is 0 on almost every round. Leave it at 0 unless your club has told you otherwise for that day.</t>
        </is>
      </c>
    </row>
    <row r="22" ht="15" customHeight="1">
      <c r="B22" s="3" t="inlineStr"/>
    </row>
    <row r="23">
      <c r="B23" s="4" t="inlineStr">
        <is>
          <t>Please read this</t>
        </is>
      </c>
    </row>
    <row r="24" ht="30" customHeight="1">
      <c r="B24" s="3" t="inlineStr">
        <is>
          <t>This is not an official Handicap Index. Only an authorised golf association or your club can issue one. This sheet does the same arithmetic so you can follow your own progress between official revisions, and so you can see how the number is arrived at.</t>
        </is>
      </c>
    </row>
    <row r="25" ht="15" customHeight="1">
      <c r="B25" s="3" t="inlineStr"/>
    </row>
    <row r="26">
      <c r="B26" s="5" t="inlineStr">
        <is>
          <t>Free to use and to share. No sign-up, no email.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4"/>
  <sheetViews>
    <sheetView showGridLines="0" workbookViewId="0">
      <selection activeCell="A1" sqref="A1"/>
    </sheetView>
  </sheetViews>
  <sheetFormatPr baseColWidth="8" defaultRowHeight="15"/>
  <cols>
    <col width="12" customWidth="1" min="1" max="1"/>
    <col width="26" customWidth="1" min="2" max="2"/>
    <col width="10" customWidth="1" min="3" max="3"/>
    <col width="14" customWidth="1" min="4" max="4"/>
    <col width="13" customWidth="1" min="5" max="5"/>
    <col width="7" customWidth="1" min="6" max="6"/>
    <col width="20" customWidth="1" min="7" max="7"/>
    <col width="7" customWidth="1" min="8" max="8"/>
    <col width="17" customWidth="1" min="9" max="9"/>
  </cols>
  <sheetData>
    <row r="1">
      <c r="A1" s="4" t="inlineStr">
        <is>
          <t>Your most recent 20 rounds — replace the example data with your own</t>
        </is>
      </c>
    </row>
    <row r="2" ht="30" customHeight="1">
      <c r="A2" s="6" t="inlineStr">
        <is>
          <t>Date</t>
        </is>
      </c>
      <c r="B2" s="6" t="inlineStr">
        <is>
          <t>Course</t>
        </is>
      </c>
      <c r="C2" s="6" t="inlineStr">
        <is>
          <t>Tees</t>
        </is>
      </c>
      <c r="D2" s="6" t="inlineStr">
        <is>
          <t>Course Rating</t>
        </is>
      </c>
      <c r="E2" s="6" t="inlineStr">
        <is>
          <t>Slope Rating</t>
        </is>
      </c>
      <c r="F2" s="6" t="inlineStr">
        <is>
          <t>Par</t>
        </is>
      </c>
      <c r="G2" s="6" t="inlineStr">
        <is>
          <t>Adjusted Gross Score</t>
        </is>
      </c>
      <c r="H2" s="6" t="inlineStr">
        <is>
          <t>PCC</t>
        </is>
      </c>
      <c r="I2" s="6" t="inlineStr">
        <is>
          <t>Score Differential</t>
        </is>
      </c>
    </row>
    <row r="3">
      <c r="A3" s="7" t="inlineStr">
        <is>
          <t>2026-04-06</t>
        </is>
      </c>
      <c r="B3" s="7" t="inlineStr">
        <is>
          <t>Wallasey</t>
        </is>
      </c>
      <c r="C3" s="7" t="inlineStr">
        <is>
          <t>White</t>
        </is>
      </c>
      <c r="D3" s="8" t="n">
        <v>71.90000000000001</v>
      </c>
      <c r="E3" s="8" t="n">
        <v>125</v>
      </c>
      <c r="F3" s="8" t="n">
        <v>72</v>
      </c>
      <c r="G3" s="8" t="n">
        <v>91</v>
      </c>
      <c r="H3" s="8" t="n">
        <v>0</v>
      </c>
      <c r="I3" s="9">
        <f>IF(COUNT(D3,E3,G3)=3,ROUND((113/E3)*(G3-D3-H3),1),"")</f>
        <v/>
      </c>
    </row>
    <row r="4">
      <c r="A4" s="7" t="inlineStr">
        <is>
          <t>2026-04-13</t>
        </is>
      </c>
      <c r="B4" s="7" t="inlineStr">
        <is>
          <t>Wallasey</t>
        </is>
      </c>
      <c r="C4" s="7" t="inlineStr">
        <is>
          <t>White</t>
        </is>
      </c>
      <c r="D4" s="8" t="n">
        <v>71.90000000000001</v>
      </c>
      <c r="E4" s="8" t="n">
        <v>125</v>
      </c>
      <c r="F4" s="8" t="n">
        <v>72</v>
      </c>
      <c r="G4" s="8" t="n">
        <v>88</v>
      </c>
      <c r="H4" s="8" t="n">
        <v>0</v>
      </c>
      <c r="I4" s="9">
        <f>IF(COUNT(D4,E4,G4)=3,ROUND((113/E4)*(G4-D4-H4),1),"")</f>
        <v/>
      </c>
    </row>
    <row r="5">
      <c r="A5" s="7" t="inlineStr">
        <is>
          <t>2026-04-20</t>
        </is>
      </c>
      <c r="B5" s="7" t="inlineStr">
        <is>
          <t>Royal Birkdale</t>
        </is>
      </c>
      <c r="C5" s="7" t="inlineStr">
        <is>
          <t>Yellow</t>
        </is>
      </c>
      <c r="D5" s="8" t="n">
        <v>70.59999999999999</v>
      </c>
      <c r="E5" s="8" t="n">
        <v>132</v>
      </c>
      <c r="F5" s="8" t="n">
        <v>71</v>
      </c>
      <c r="G5" s="8" t="n">
        <v>95</v>
      </c>
      <c r="H5" s="8" t="n">
        <v>0</v>
      </c>
      <c r="I5" s="9">
        <f>IF(COUNT(D5,E5,G5)=3,ROUND((113/E5)*(G5-D5-H5),1),"")</f>
        <v/>
      </c>
    </row>
    <row r="6">
      <c r="A6" s="7" t="inlineStr">
        <is>
          <t>2026-04-27</t>
        </is>
      </c>
      <c r="B6" s="7" t="inlineStr">
        <is>
          <t>Wallasey</t>
        </is>
      </c>
      <c r="C6" s="7" t="inlineStr">
        <is>
          <t>White</t>
        </is>
      </c>
      <c r="D6" s="8" t="n">
        <v>71.90000000000001</v>
      </c>
      <c r="E6" s="8" t="n">
        <v>125</v>
      </c>
      <c r="F6" s="8" t="n">
        <v>72</v>
      </c>
      <c r="G6" s="8" t="n">
        <v>86</v>
      </c>
      <c r="H6" s="8" t="n">
        <v>0</v>
      </c>
      <c r="I6" s="9">
        <f>IF(COUNT(D6,E6,G6)=3,ROUND((113/E6)*(G6-D6-H6),1),"")</f>
        <v/>
      </c>
    </row>
    <row r="7">
      <c r="A7" s="7" t="inlineStr">
        <is>
          <t>2026-05-04</t>
        </is>
      </c>
      <c r="B7" s="7" t="inlineStr">
        <is>
          <t>Wallasey</t>
        </is>
      </c>
      <c r="C7" s="7" t="inlineStr">
        <is>
          <t>White</t>
        </is>
      </c>
      <c r="D7" s="8" t="n">
        <v>71.90000000000001</v>
      </c>
      <c r="E7" s="8" t="n">
        <v>125</v>
      </c>
      <c r="F7" s="8" t="n">
        <v>72</v>
      </c>
      <c r="G7" s="8" t="n">
        <v>93</v>
      </c>
      <c r="H7" s="8" t="n">
        <v>0</v>
      </c>
      <c r="I7" s="9">
        <f>IF(COUNT(D7,E7,G7)=3,ROUND((113/E7)*(G7-D7-H7),1),"")</f>
        <v/>
      </c>
    </row>
    <row r="8">
      <c r="A8" s="7" t="inlineStr">
        <is>
          <t>2026-05-11</t>
        </is>
      </c>
      <c r="B8" s="7" t="inlineStr">
        <is>
          <t>Formby</t>
        </is>
      </c>
      <c r="C8" s="7" t="inlineStr">
        <is>
          <t>White</t>
        </is>
      </c>
      <c r="D8" s="8" t="n">
        <v>72.40000000000001</v>
      </c>
      <c r="E8" s="8" t="n">
        <v>129</v>
      </c>
      <c r="F8" s="8" t="n">
        <v>72</v>
      </c>
      <c r="G8" s="8" t="n">
        <v>90</v>
      </c>
      <c r="H8" s="8" t="n">
        <v>0</v>
      </c>
      <c r="I8" s="9">
        <f>IF(COUNT(D8,E8,G8)=3,ROUND((113/E8)*(G8-D8-H8),1),"")</f>
        <v/>
      </c>
    </row>
    <row r="9">
      <c r="A9" s="7" t="inlineStr">
        <is>
          <t>2026-05-18</t>
        </is>
      </c>
      <c r="B9" s="7" t="inlineStr">
        <is>
          <t>Wallasey</t>
        </is>
      </c>
      <c r="C9" s="7" t="inlineStr">
        <is>
          <t>White</t>
        </is>
      </c>
      <c r="D9" s="8" t="n">
        <v>71.90000000000001</v>
      </c>
      <c r="E9" s="8" t="n">
        <v>125</v>
      </c>
      <c r="F9" s="8" t="n">
        <v>72</v>
      </c>
      <c r="G9" s="8" t="n">
        <v>87</v>
      </c>
      <c r="H9" s="8" t="n">
        <v>0</v>
      </c>
      <c r="I9" s="9">
        <f>IF(COUNT(D9,E9,G9)=3,ROUND((113/E9)*(G9-D9-H9),1),"")</f>
        <v/>
      </c>
    </row>
    <row r="10">
      <c r="A10" s="7" t="inlineStr">
        <is>
          <t>2026-05-25</t>
        </is>
      </c>
      <c r="B10" s="7" t="inlineStr">
        <is>
          <t>Wallasey</t>
        </is>
      </c>
      <c r="C10" s="7" t="inlineStr">
        <is>
          <t>White</t>
        </is>
      </c>
      <c r="D10" s="8" t="n">
        <v>71.90000000000001</v>
      </c>
      <c r="E10" s="8" t="n">
        <v>125</v>
      </c>
      <c r="F10" s="8" t="n">
        <v>72</v>
      </c>
      <c r="G10" s="8" t="n">
        <v>92</v>
      </c>
      <c r="H10" s="8" t="n">
        <v>0</v>
      </c>
      <c r="I10" s="9">
        <f>IF(COUNT(D10,E10,G10)=3,ROUND((113/E10)*(G10-D10-H10),1),"")</f>
        <v/>
      </c>
    </row>
    <row r="11">
      <c r="A11" s="7" t="inlineStr">
        <is>
          <t>2026-06-01</t>
        </is>
      </c>
      <c r="B11" s="7" t="inlineStr">
        <is>
          <t>Royal Birkdale</t>
        </is>
      </c>
      <c r="C11" s="7" t="inlineStr">
        <is>
          <t>Yellow</t>
        </is>
      </c>
      <c r="D11" s="8" t="n">
        <v>70.59999999999999</v>
      </c>
      <c r="E11" s="8" t="n">
        <v>132</v>
      </c>
      <c r="F11" s="8" t="n">
        <v>71</v>
      </c>
      <c r="G11" s="8" t="n">
        <v>97</v>
      </c>
      <c r="H11" s="8" t="n">
        <v>0</v>
      </c>
      <c r="I11" s="9">
        <f>IF(COUNT(D11,E11,G11)=3,ROUND((113/E11)*(G11-D11-H11),1),"")</f>
        <v/>
      </c>
    </row>
    <row r="12">
      <c r="A12" s="7" t="inlineStr">
        <is>
          <t>2026-06-08</t>
        </is>
      </c>
      <c r="B12" s="7" t="inlineStr">
        <is>
          <t>Wallasey</t>
        </is>
      </c>
      <c r="C12" s="7" t="inlineStr">
        <is>
          <t>White</t>
        </is>
      </c>
      <c r="D12" s="8" t="n">
        <v>71.90000000000001</v>
      </c>
      <c r="E12" s="8" t="n">
        <v>125</v>
      </c>
      <c r="F12" s="8" t="n">
        <v>72</v>
      </c>
      <c r="G12" s="8" t="n">
        <v>85</v>
      </c>
      <c r="H12" s="8" t="n">
        <v>0</v>
      </c>
      <c r="I12" s="9">
        <f>IF(COUNT(D12,E12,G12)=3,ROUND((113/E12)*(G12-D12-H12),1),"")</f>
        <v/>
      </c>
    </row>
    <row r="13">
      <c r="A13" s="7" t="inlineStr">
        <is>
          <t>2026-06-15</t>
        </is>
      </c>
      <c r="B13" s="7" t="inlineStr">
        <is>
          <t>Formby</t>
        </is>
      </c>
      <c r="C13" s="7" t="inlineStr">
        <is>
          <t>White</t>
        </is>
      </c>
      <c r="D13" s="8" t="n">
        <v>72.40000000000001</v>
      </c>
      <c r="E13" s="8" t="n">
        <v>129</v>
      </c>
      <c r="F13" s="8" t="n">
        <v>72</v>
      </c>
      <c r="G13" s="8" t="n">
        <v>94</v>
      </c>
      <c r="H13" s="8" t="n">
        <v>0</v>
      </c>
      <c r="I13" s="9">
        <f>IF(COUNT(D13,E13,G13)=3,ROUND((113/E13)*(G13-D13-H13),1),"")</f>
        <v/>
      </c>
    </row>
    <row r="14">
      <c r="A14" s="7" t="inlineStr">
        <is>
          <t>2026-06-22</t>
        </is>
      </c>
      <c r="B14" s="7" t="inlineStr">
        <is>
          <t>Wallasey</t>
        </is>
      </c>
      <c r="C14" s="7" t="inlineStr">
        <is>
          <t>White</t>
        </is>
      </c>
      <c r="D14" s="8" t="n">
        <v>71.90000000000001</v>
      </c>
      <c r="E14" s="8" t="n">
        <v>125</v>
      </c>
      <c r="F14" s="8" t="n">
        <v>72</v>
      </c>
      <c r="G14" s="8" t="n">
        <v>89</v>
      </c>
      <c r="H14" s="8" t="n">
        <v>0</v>
      </c>
      <c r="I14" s="9">
        <f>IF(COUNT(D14,E14,G14)=3,ROUND((113/E14)*(G14-D14-H14),1),"")</f>
        <v/>
      </c>
    </row>
    <row r="15">
      <c r="A15" s="7" t="inlineStr">
        <is>
          <t>2026-06-29</t>
        </is>
      </c>
      <c r="B15" s="7" t="inlineStr">
        <is>
          <t>Wallasey</t>
        </is>
      </c>
      <c r="C15" s="7" t="inlineStr">
        <is>
          <t>White</t>
        </is>
      </c>
      <c r="D15" s="8" t="n">
        <v>71.90000000000001</v>
      </c>
      <c r="E15" s="8" t="n">
        <v>125</v>
      </c>
      <c r="F15" s="8" t="n">
        <v>72</v>
      </c>
      <c r="G15" s="8" t="n">
        <v>90</v>
      </c>
      <c r="H15" s="8" t="n">
        <v>0</v>
      </c>
      <c r="I15" s="9">
        <f>IF(COUNT(D15,E15,G15)=3,ROUND((113/E15)*(G15-D15-H15),1),"")</f>
        <v/>
      </c>
    </row>
    <row r="16">
      <c r="A16" s="7" t="inlineStr">
        <is>
          <t>2026-07-06</t>
        </is>
      </c>
      <c r="B16" s="7" t="inlineStr">
        <is>
          <t>Formby</t>
        </is>
      </c>
      <c r="C16" s="7" t="inlineStr">
        <is>
          <t>White</t>
        </is>
      </c>
      <c r="D16" s="8" t="n">
        <v>72.40000000000001</v>
      </c>
      <c r="E16" s="8" t="n">
        <v>129</v>
      </c>
      <c r="F16" s="8" t="n">
        <v>72</v>
      </c>
      <c r="G16" s="8" t="n">
        <v>88</v>
      </c>
      <c r="H16" s="8" t="n">
        <v>0</v>
      </c>
      <c r="I16" s="9">
        <f>IF(COUNT(D16,E16,G16)=3,ROUND((113/E16)*(G16-D16-H16),1),"")</f>
        <v/>
      </c>
    </row>
    <row r="17">
      <c r="A17" s="7" t="inlineStr">
        <is>
          <t>2026-07-13</t>
        </is>
      </c>
      <c r="B17" s="7" t="inlineStr">
        <is>
          <t>Wallasey</t>
        </is>
      </c>
      <c r="C17" s="7" t="inlineStr">
        <is>
          <t>White</t>
        </is>
      </c>
      <c r="D17" s="8" t="n">
        <v>71.90000000000001</v>
      </c>
      <c r="E17" s="8" t="n">
        <v>125</v>
      </c>
      <c r="F17" s="8" t="n">
        <v>72</v>
      </c>
      <c r="G17" s="8" t="n">
        <v>96</v>
      </c>
      <c r="H17" s="8" t="n">
        <v>0</v>
      </c>
      <c r="I17" s="9">
        <f>IF(COUNT(D17,E17,G17)=3,ROUND((113/E17)*(G17-D17-H17),1),"")</f>
        <v/>
      </c>
    </row>
    <row r="18">
      <c r="A18" s="7" t="inlineStr">
        <is>
          <t>2026-07-20</t>
        </is>
      </c>
      <c r="B18" s="7" t="inlineStr">
        <is>
          <t>Wallasey</t>
        </is>
      </c>
      <c r="C18" s="7" t="inlineStr">
        <is>
          <t>White</t>
        </is>
      </c>
      <c r="D18" s="8" t="n">
        <v>71.90000000000001</v>
      </c>
      <c r="E18" s="8" t="n">
        <v>125</v>
      </c>
      <c r="F18" s="8" t="n">
        <v>72</v>
      </c>
      <c r="G18" s="8" t="n">
        <v>84</v>
      </c>
      <c r="H18" s="8" t="n">
        <v>0</v>
      </c>
      <c r="I18" s="9">
        <f>IF(COUNT(D18,E18,G18)=3,ROUND((113/E18)*(G18-D18-H18),1),"")</f>
        <v/>
      </c>
    </row>
    <row r="19">
      <c r="A19" s="7" t="inlineStr">
        <is>
          <t>2026-07-27</t>
        </is>
      </c>
      <c r="B19" s="7" t="inlineStr">
        <is>
          <t>Royal Birkdale</t>
        </is>
      </c>
      <c r="C19" s="7" t="inlineStr">
        <is>
          <t>Yellow</t>
        </is>
      </c>
      <c r="D19" s="8" t="n">
        <v>70.59999999999999</v>
      </c>
      <c r="E19" s="8" t="n">
        <v>132</v>
      </c>
      <c r="F19" s="8" t="n">
        <v>71</v>
      </c>
      <c r="G19" s="8" t="n">
        <v>93</v>
      </c>
      <c r="H19" s="8" t="n">
        <v>0</v>
      </c>
      <c r="I19" s="9">
        <f>IF(COUNT(D19,E19,G19)=3,ROUND((113/E19)*(G19-D19-H19),1),"")</f>
        <v/>
      </c>
    </row>
    <row r="20">
      <c r="A20" s="7" t="inlineStr">
        <is>
          <t>2026-08-03</t>
        </is>
      </c>
      <c r="B20" s="7" t="inlineStr">
        <is>
          <t>Wallasey</t>
        </is>
      </c>
      <c r="C20" s="7" t="inlineStr">
        <is>
          <t>White</t>
        </is>
      </c>
      <c r="D20" s="8" t="n">
        <v>71.90000000000001</v>
      </c>
      <c r="E20" s="8" t="n">
        <v>125</v>
      </c>
      <c r="F20" s="8" t="n">
        <v>72</v>
      </c>
      <c r="G20" s="8" t="n">
        <v>91</v>
      </c>
      <c r="H20" s="8" t="n">
        <v>0</v>
      </c>
      <c r="I20" s="9">
        <f>IF(COUNT(D20,E20,G20)=3,ROUND((113/E20)*(G20-D20-H20),1),"")</f>
        <v/>
      </c>
    </row>
    <row r="21">
      <c r="A21" s="7" t="inlineStr">
        <is>
          <t>2026-08-10</t>
        </is>
      </c>
      <c r="B21" s="7" t="inlineStr">
        <is>
          <t>Formby</t>
        </is>
      </c>
      <c r="C21" s="7" t="inlineStr">
        <is>
          <t>White</t>
        </is>
      </c>
      <c r="D21" s="8" t="n">
        <v>72.40000000000001</v>
      </c>
      <c r="E21" s="8" t="n">
        <v>129</v>
      </c>
      <c r="F21" s="8" t="n">
        <v>72</v>
      </c>
      <c r="G21" s="8" t="n">
        <v>92</v>
      </c>
      <c r="H21" s="8" t="n">
        <v>0</v>
      </c>
      <c r="I21" s="9">
        <f>IF(COUNT(D21,E21,G21)=3,ROUND((113/E21)*(G21-D21-H21),1),"")</f>
        <v/>
      </c>
    </row>
    <row r="22">
      <c r="A22" s="7" t="inlineStr">
        <is>
          <t>2026-08-17</t>
        </is>
      </c>
      <c r="B22" s="7" t="inlineStr">
        <is>
          <t>Wallasey</t>
        </is>
      </c>
      <c r="C22" s="7" t="inlineStr">
        <is>
          <t>White</t>
        </is>
      </c>
      <c r="D22" s="8" t="n">
        <v>71.90000000000001</v>
      </c>
      <c r="E22" s="8" t="n">
        <v>125</v>
      </c>
      <c r="F22" s="8" t="n">
        <v>72</v>
      </c>
      <c r="G22" s="8" t="n">
        <v>87</v>
      </c>
      <c r="H22" s="8" t="n">
        <v>0</v>
      </c>
      <c r="I22" s="9">
        <f>IF(COUNT(D22,E22,G22)=3,ROUND((113/E22)*(G22-D22-H22),1),"")</f>
        <v/>
      </c>
    </row>
    <row r="24">
      <c r="A24" s="5" t="inlineStr">
        <is>
          <t>Yellow cells are yours. The Score Differential column works itself out.</t>
        </is>
      </c>
    </row>
  </sheetData>
  <mergeCells count="1">
    <mergeCell ref="A1:I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F22"/>
  <sheetViews>
    <sheetView showGridLines="0" workbookViewId="0">
      <selection activeCell="A1" sqref="A1"/>
    </sheetView>
  </sheetViews>
  <sheetFormatPr baseColWidth="8" defaultRowHeight="15"/>
  <cols>
    <col width="3" customWidth="1" min="1" max="1"/>
    <col width="34" customWidth="1" min="2" max="2"/>
    <col width="14" customWidth="1" min="3" max="3"/>
    <col width="6" customWidth="1" min="5" max="5"/>
    <col width="20" customWidth="1" min="6" max="6"/>
  </cols>
  <sheetData>
    <row r="2">
      <c r="B2" s="10" t="inlineStr">
        <is>
          <t>Your Handicap Index</t>
        </is>
      </c>
      <c r="F2" s="11" t="inlineStr">
        <is>
          <t>Differentials, lowest first</t>
        </is>
      </c>
    </row>
    <row r="3">
      <c r="E3" s="5" t="n">
        <v>1</v>
      </c>
      <c r="F3" s="12">
        <f>IFERROR(SMALL('My Rounds'!$I$3:$I$22,1),"")</f>
        <v/>
      </c>
    </row>
    <row r="4">
      <c r="B4" s="11" t="inlineStr">
        <is>
          <t>Rounds entered</t>
        </is>
      </c>
      <c r="C4" s="12">
        <f>COUNT('My Rounds'!I3:I22)</f>
        <v/>
      </c>
      <c r="E4" s="5" t="n">
        <v>2</v>
      </c>
      <c r="F4" s="12">
        <f>IFERROR(SMALL('My Rounds'!$I$3:$I$22,2),"")</f>
        <v/>
      </c>
    </row>
    <row r="5">
      <c r="B5" s="11" t="inlineStr">
        <is>
          <t>Differentials the WHS uses</t>
        </is>
      </c>
      <c r="C5" s="12">
        <f>IFERROR(VLOOKUP(C4,'WHS Table'!$A$3:$C$20,2,FALSE),0)</f>
        <v/>
      </c>
      <c r="E5" s="5" t="n">
        <v>3</v>
      </c>
      <c r="F5" s="12">
        <f>IFERROR(SMALL('My Rounds'!$I$3:$I$22,3),"")</f>
        <v/>
      </c>
    </row>
    <row r="6">
      <c r="B6" s="11" t="inlineStr">
        <is>
          <t>Adjustment</t>
        </is>
      </c>
      <c r="C6" s="12">
        <f>IFERROR(VLOOKUP(C4,'WHS Table'!$A$3:$C$20,3,FALSE),0)</f>
        <v/>
      </c>
      <c r="E6" s="5" t="n">
        <v>4</v>
      </c>
      <c r="F6" s="12">
        <f>IFERROR(SMALL('My Rounds'!$I$3:$I$22,4),"")</f>
        <v/>
      </c>
    </row>
    <row r="7">
      <c r="B7" s="11" t="inlineStr">
        <is>
          <t>Average of those differentials</t>
        </is>
      </c>
      <c r="C7" s="12">
        <f>IF(C5=0,"",ROUND(AVERAGE(F3:INDEX(F3:F22,C5)),2))</f>
        <v/>
      </c>
      <c r="E7" s="5" t="n">
        <v>5</v>
      </c>
      <c r="F7" s="12">
        <f>IFERROR(SMALL('My Rounds'!$I$3:$I$22,5),"")</f>
        <v/>
      </c>
    </row>
    <row r="8">
      <c r="E8" s="5" t="n">
        <v>6</v>
      </c>
      <c r="F8" s="12">
        <f>IFERROR(SMALL('My Rounds'!$I$3:$I$22,6),"")</f>
        <v/>
      </c>
    </row>
    <row r="9">
      <c r="B9" s="13" t="inlineStr">
        <is>
          <t>HANDICAP INDEX</t>
        </is>
      </c>
      <c r="C9" s="14">
        <f>IF(C5=0,"Enter at least 3 rounds",ROUND(AVERAGE(F3:INDEX(F3:F22,C5))+C6,1))</f>
        <v/>
      </c>
      <c r="E9" s="5" t="n">
        <v>7</v>
      </c>
      <c r="F9" s="12">
        <f>IFERROR(SMALL('My Rounds'!$I$3:$I$22,7),"")</f>
        <v/>
      </c>
    </row>
    <row r="10">
      <c r="E10" s="5" t="n">
        <v>8</v>
      </c>
      <c r="F10" s="12">
        <f>IFERROR(SMALL('My Rounds'!$I$3:$I$22,8),"")</f>
        <v/>
      </c>
    </row>
    <row r="11">
      <c r="B11" s="5" t="inlineStr">
        <is>
          <t>Fewer than 20 rounds is fine — the WHS has a table for that, and this sheet follows it. See the 'WHS Table' sheet.</t>
        </is>
      </c>
      <c r="E11" s="5" t="n">
        <v>9</v>
      </c>
      <c r="F11" s="12">
        <f>IFERROR(SMALL('My Rounds'!$I$3:$I$22,9),"")</f>
        <v/>
      </c>
    </row>
    <row r="12">
      <c r="B12" s="5" t="inlineStr">
        <is>
          <t>This is not an official Handicap Index. Only your club or golf association can issue one.</t>
        </is>
      </c>
      <c r="E12" s="5" t="n">
        <v>10</v>
      </c>
      <c r="F12" s="12">
        <f>IFERROR(SMALL('My Rounds'!$I$3:$I$22,10),"")</f>
        <v/>
      </c>
    </row>
    <row r="13">
      <c r="E13" s="5" t="n">
        <v>11</v>
      </c>
      <c r="F13" s="12">
        <f>IFERROR(SMALL('My Rounds'!$I$3:$I$22,11),"")</f>
        <v/>
      </c>
    </row>
    <row r="14">
      <c r="E14" s="5" t="n">
        <v>12</v>
      </c>
      <c r="F14" s="12">
        <f>IFERROR(SMALL('My Rounds'!$I$3:$I$22,12),"")</f>
        <v/>
      </c>
    </row>
    <row r="15">
      <c r="E15" s="5" t="n">
        <v>13</v>
      </c>
      <c r="F15" s="12">
        <f>IFERROR(SMALL('My Rounds'!$I$3:$I$22,13),"")</f>
        <v/>
      </c>
    </row>
    <row r="16">
      <c r="E16" s="5" t="n">
        <v>14</v>
      </c>
      <c r="F16" s="12">
        <f>IFERROR(SMALL('My Rounds'!$I$3:$I$22,14),"")</f>
        <v/>
      </c>
    </row>
    <row r="17">
      <c r="E17" s="5" t="n">
        <v>15</v>
      </c>
      <c r="F17" s="12">
        <f>IFERROR(SMALL('My Rounds'!$I$3:$I$22,15),"")</f>
        <v/>
      </c>
    </row>
    <row r="18">
      <c r="E18" s="5" t="n">
        <v>16</v>
      </c>
      <c r="F18" s="12">
        <f>IFERROR(SMALL('My Rounds'!$I$3:$I$22,16),"")</f>
        <v/>
      </c>
    </row>
    <row r="19">
      <c r="E19" s="5" t="n">
        <v>17</v>
      </c>
      <c r="F19" s="12">
        <f>IFERROR(SMALL('My Rounds'!$I$3:$I$22,17),"")</f>
        <v/>
      </c>
    </row>
    <row r="20">
      <c r="E20" s="5" t="n">
        <v>18</v>
      </c>
      <c r="F20" s="12">
        <f>IFERROR(SMALL('My Rounds'!$I$3:$I$22,18),"")</f>
        <v/>
      </c>
    </row>
    <row r="21">
      <c r="E21" s="5" t="n">
        <v>19</v>
      </c>
      <c r="F21" s="12">
        <f>IFERROR(SMALL('My Rounds'!$I$3:$I$22,19),"")</f>
        <v/>
      </c>
    </row>
    <row r="22">
      <c r="E22" s="5" t="n">
        <v>20</v>
      </c>
      <c r="F22" s="12">
        <f>IFERROR(SMALL('My Rounds'!$I$3:$I$22,20),"")</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2"/>
  <sheetViews>
    <sheetView showGridLines="0" workbookViewId="0">
      <selection activeCell="A1" sqref="A1"/>
    </sheetView>
  </sheetViews>
  <sheetFormatPr baseColWidth="8" defaultRowHeight="15"/>
  <cols>
    <col width="20" customWidth="1" min="1" max="1"/>
    <col width="20" customWidth="1" min="2" max="2"/>
    <col width="20" customWidth="1" min="3" max="3"/>
  </cols>
  <sheetData>
    <row r="1">
      <c r="A1" s="4" t="inlineStr">
        <is>
          <t>How many differentials the World Handicap System uses, and the adjustment</t>
        </is>
      </c>
    </row>
    <row r="2">
      <c r="A2" s="15" t="inlineStr">
        <is>
          <t>Rounds entered</t>
        </is>
      </c>
      <c r="B2" s="15" t="inlineStr">
        <is>
          <t>Differentials used</t>
        </is>
      </c>
      <c r="C2" s="15" t="inlineStr">
        <is>
          <t>Adjustment</t>
        </is>
      </c>
    </row>
    <row r="3">
      <c r="A3" s="16" t="n">
        <v>3</v>
      </c>
      <c r="B3" s="16" t="n">
        <v>1</v>
      </c>
      <c r="C3" s="16" t="n">
        <v>-2</v>
      </c>
    </row>
    <row r="4">
      <c r="A4" s="16" t="n">
        <v>4</v>
      </c>
      <c r="B4" s="16" t="n">
        <v>1</v>
      </c>
      <c r="C4" s="16" t="n">
        <v>-1</v>
      </c>
    </row>
    <row r="5">
      <c r="A5" s="16" t="n">
        <v>5</v>
      </c>
      <c r="B5" s="16" t="n">
        <v>1</v>
      </c>
      <c r="C5" s="16" t="n">
        <v>0</v>
      </c>
    </row>
    <row r="6">
      <c r="A6" s="16" t="n">
        <v>6</v>
      </c>
      <c r="B6" s="16" t="n">
        <v>2</v>
      </c>
      <c r="C6" s="16" t="n">
        <v>-1</v>
      </c>
    </row>
    <row r="7">
      <c r="A7" s="16" t="n">
        <v>7</v>
      </c>
      <c r="B7" s="16" t="n">
        <v>2</v>
      </c>
      <c r="C7" s="16" t="n">
        <v>0</v>
      </c>
    </row>
    <row r="8">
      <c r="A8" s="16" t="n">
        <v>8</v>
      </c>
      <c r="B8" s="16" t="n">
        <v>2</v>
      </c>
      <c r="C8" s="16" t="n">
        <v>0</v>
      </c>
    </row>
    <row r="9">
      <c r="A9" s="16" t="n">
        <v>9</v>
      </c>
      <c r="B9" s="16" t="n">
        <v>3</v>
      </c>
      <c r="C9" s="16" t="n">
        <v>0</v>
      </c>
    </row>
    <row r="10">
      <c r="A10" s="16" t="n">
        <v>10</v>
      </c>
      <c r="B10" s="16" t="n">
        <v>3</v>
      </c>
      <c r="C10" s="16" t="n">
        <v>0</v>
      </c>
    </row>
    <row r="11">
      <c r="A11" s="16" t="n">
        <v>11</v>
      </c>
      <c r="B11" s="16" t="n">
        <v>3</v>
      </c>
      <c r="C11" s="16" t="n">
        <v>0</v>
      </c>
    </row>
    <row r="12">
      <c r="A12" s="16" t="n">
        <v>12</v>
      </c>
      <c r="B12" s="16" t="n">
        <v>4</v>
      </c>
      <c r="C12" s="16" t="n">
        <v>0</v>
      </c>
    </row>
    <row r="13">
      <c r="A13" s="16" t="n">
        <v>13</v>
      </c>
      <c r="B13" s="16" t="n">
        <v>4</v>
      </c>
      <c r="C13" s="16" t="n">
        <v>0</v>
      </c>
    </row>
    <row r="14">
      <c r="A14" s="16" t="n">
        <v>14</v>
      </c>
      <c r="B14" s="16" t="n">
        <v>4</v>
      </c>
      <c r="C14" s="16" t="n">
        <v>0</v>
      </c>
    </row>
    <row r="15">
      <c r="A15" s="16" t="n">
        <v>15</v>
      </c>
      <c r="B15" s="16" t="n">
        <v>5</v>
      </c>
      <c r="C15" s="16" t="n">
        <v>0</v>
      </c>
    </row>
    <row r="16">
      <c r="A16" s="16" t="n">
        <v>16</v>
      </c>
      <c r="B16" s="16" t="n">
        <v>5</v>
      </c>
      <c r="C16" s="16" t="n">
        <v>0</v>
      </c>
    </row>
    <row r="17">
      <c r="A17" s="16" t="n">
        <v>17</v>
      </c>
      <c r="B17" s="16" t="n">
        <v>6</v>
      </c>
      <c r="C17" s="16" t="n">
        <v>0</v>
      </c>
    </row>
    <row r="18">
      <c r="A18" s="16" t="n">
        <v>18</v>
      </c>
      <c r="B18" s="16" t="n">
        <v>6</v>
      </c>
      <c r="C18" s="16" t="n">
        <v>0</v>
      </c>
    </row>
    <row r="19">
      <c r="A19" s="16" t="n">
        <v>19</v>
      </c>
      <c r="B19" s="16" t="n">
        <v>7</v>
      </c>
      <c r="C19" s="16" t="n">
        <v>0</v>
      </c>
    </row>
    <row r="20">
      <c r="A20" s="16" t="n">
        <v>20</v>
      </c>
      <c r="B20" s="16" t="n">
        <v>8</v>
      </c>
      <c r="C20" s="16" t="n">
        <v>0</v>
      </c>
    </row>
    <row r="22">
      <c r="A22" s="5" t="inlineStr">
        <is>
          <t>These are the published WHS figures. If your association differs, edit this table and the Index updates.</t>
        </is>
      </c>
    </row>
  </sheetData>
  <mergeCells count="1">
    <mergeCell ref="A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C18"/>
  <sheetViews>
    <sheetView showGridLines="0" workbookViewId="0">
      <selection activeCell="A1" sqref="A1"/>
    </sheetView>
  </sheetViews>
  <sheetFormatPr baseColWidth="8" defaultRowHeight="15"/>
  <cols>
    <col width="3" customWidth="1" min="1" max="1"/>
    <col width="38" customWidth="1" min="2" max="2"/>
    <col width="16" customWidth="1" min="3" max="3"/>
  </cols>
  <sheetData>
    <row r="2">
      <c r="B2" s="10" t="inlineStr">
        <is>
          <t>Course Handicap and Playing Handicap</t>
        </is>
      </c>
    </row>
    <row r="4">
      <c r="B4" s="11" t="inlineStr">
        <is>
          <t>Handicap Index</t>
        </is>
      </c>
      <c r="C4" s="12">
        <f>'Handicap Index'!C9</f>
        <v/>
      </c>
    </row>
    <row r="5">
      <c r="B5" s="11" t="inlineStr">
        <is>
          <t>Slope Rating of the tees</t>
        </is>
      </c>
      <c r="C5" s="8" t="n">
        <v>125</v>
      </c>
    </row>
    <row r="6">
      <c r="B6" s="11" t="inlineStr">
        <is>
          <t>Course Rating</t>
        </is>
      </c>
      <c r="C6" s="8" t="n">
        <v>71.90000000000001</v>
      </c>
    </row>
    <row r="7">
      <c r="B7" s="11" t="inlineStr">
        <is>
          <t>Par</t>
        </is>
      </c>
      <c r="C7" s="8" t="n">
        <v>72</v>
      </c>
    </row>
    <row r="9">
      <c r="B9" s="11" t="inlineStr">
        <is>
          <t>Exact Course Handicap</t>
        </is>
      </c>
      <c r="C9" s="12">
        <f>ROUND((C4*C5/113)+(C6-C7),4)</f>
        <v/>
      </c>
    </row>
    <row r="10">
      <c r="B10" s="11" t="inlineStr">
        <is>
          <t>Course Handicap (what goes on the card)</t>
        </is>
      </c>
      <c r="C10" s="12">
        <f>ROUND((C4*C5/113)+(C6-C7),0)</f>
        <v/>
      </c>
    </row>
    <row r="12">
      <c r="B12" s="11" t="inlineStr">
        <is>
          <t>Allowance for the format (%)</t>
        </is>
      </c>
      <c r="C12" s="8" t="n">
        <v>95</v>
      </c>
    </row>
    <row r="14">
      <c r="B14" s="13" t="inlineStr">
        <is>
          <t>PLAYING HANDICAP</t>
        </is>
      </c>
      <c r="C14" s="14">
        <f>ROUND(((C4*C5/113)+(C6-C7))*C12/100,0)</f>
        <v/>
      </c>
    </row>
    <row r="16">
      <c r="B16" s="5" t="inlineStr">
        <is>
          <t>The allowance comes off the exact Course Handicap, not the rounded one. Taking 95% of the rounded figure can leave you a stroke out.</t>
        </is>
      </c>
    </row>
    <row r="17">
      <c r="B17" s="5" t="inlineStr">
        <is>
          <t>Common allowances: individual Stableford 95, individual stroke play 95, Four-Ball stroke play 85, Four-Ball match play 90, Foursomes 50.</t>
        </is>
      </c>
    </row>
    <row r="18">
      <c r="B18" s="5" t="inlineStr">
        <is>
          <t>Your Committee can set something different. The conditions of the competition win.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B2:H31"/>
  <sheetViews>
    <sheetView showGridLines="0" workbookViewId="0">
      <selection activeCell="A1" sqref="A1"/>
    </sheetView>
  </sheetViews>
  <sheetFormatPr baseColWidth="8" defaultRowHeight="15"/>
  <cols>
    <col width="3" customWidth="1" min="1" max="1"/>
    <col width="7" customWidth="1" min="2" max="2"/>
    <col width="7" customWidth="1" min="3" max="3"/>
    <col width="13" customWidth="1" min="4" max="4"/>
    <col width="12" customWidth="1" min="5" max="5"/>
    <col width="16" customWidth="1" min="6" max="6"/>
    <col width="11" customWidth="1" min="7" max="7"/>
    <col width="9" customWidth="1" min="8" max="8"/>
  </cols>
  <sheetData>
    <row r="2">
      <c r="B2" s="10" t="inlineStr">
        <is>
          <t>Stableford Scorecard</t>
        </is>
      </c>
    </row>
    <row r="4">
      <c r="B4" s="11" t="inlineStr">
        <is>
          <t>Playing Handicap</t>
        </is>
      </c>
      <c r="C4" s="12">
        <f>'Course Handicap'!C14</f>
        <v/>
      </c>
    </row>
    <row r="5">
      <c r="B5" s="5" t="inlineStr">
        <is>
          <t>Comes from the Course Handicap sheet. Set the allowance there — 95% is the usual figure for an individual Stableford.</t>
        </is>
      </c>
    </row>
    <row r="7" ht="30" customHeight="1">
      <c r="B7" s="6" t="inlineStr">
        <is>
          <t>Hole</t>
        </is>
      </c>
      <c r="C7" s="6" t="inlineStr">
        <is>
          <t>Par</t>
        </is>
      </c>
      <c r="D7" s="6" t="inlineStr">
        <is>
          <t>Stroke Index</t>
        </is>
      </c>
      <c r="E7" s="6" t="inlineStr">
        <is>
          <t>Gross Score</t>
        </is>
      </c>
      <c r="F7" s="6" t="inlineStr">
        <is>
          <t>Strokes Received</t>
        </is>
      </c>
      <c r="G7" s="6" t="inlineStr">
        <is>
          <t>Net Score</t>
        </is>
      </c>
      <c r="H7" s="6" t="inlineStr">
        <is>
          <t>Points</t>
        </is>
      </c>
    </row>
    <row r="8">
      <c r="B8" s="16" t="n">
        <v>1</v>
      </c>
      <c r="C8" s="8" t="n">
        <v>4</v>
      </c>
      <c r="D8" s="8" t="n">
        <v>5</v>
      </c>
      <c r="E8" s="8" t="n">
        <v>5</v>
      </c>
      <c r="F8" s="12">
        <f>IF(OR(C8="",D8=""),"",MAX(0,INT($C$4/18)+IF(MOD($C$4,18)&gt;=D8,1,0)))</f>
        <v/>
      </c>
      <c r="G8" s="12">
        <f>IF(OR(E8="",F8=""),"",E8-F8)</f>
        <v/>
      </c>
      <c r="H8" s="9">
        <f>IF(G8="","",MAX(0,2-(G8-C8)))</f>
        <v/>
      </c>
    </row>
    <row r="9">
      <c r="B9" s="16" t="n">
        <v>2</v>
      </c>
      <c r="C9" s="8" t="n">
        <v>4</v>
      </c>
      <c r="D9" s="8" t="n">
        <v>11</v>
      </c>
      <c r="E9" s="8" t="n">
        <v>5</v>
      </c>
      <c r="F9" s="12">
        <f>IF(OR(C9="",D9=""),"",MAX(0,INT($C$4/18)+IF(MOD($C$4,18)&gt;=D9,1,0)))</f>
        <v/>
      </c>
      <c r="G9" s="12">
        <f>IF(OR(E9="",F9=""),"",E9-F9)</f>
        <v/>
      </c>
      <c r="H9" s="9">
        <f>IF(G9="","",MAX(0,2-(G9-C9)))</f>
        <v/>
      </c>
    </row>
    <row r="10">
      <c r="B10" s="16" t="n">
        <v>3</v>
      </c>
      <c r="C10" s="8" t="n">
        <v>3</v>
      </c>
      <c r="D10" s="8" t="n">
        <v>17</v>
      </c>
      <c r="E10" s="8" t="n">
        <v>4</v>
      </c>
      <c r="F10" s="12">
        <f>IF(OR(C10="",D10=""),"",MAX(0,INT($C$4/18)+IF(MOD($C$4,18)&gt;=D10,1,0)))</f>
        <v/>
      </c>
      <c r="G10" s="12">
        <f>IF(OR(E10="",F10=""),"",E10-F10)</f>
        <v/>
      </c>
      <c r="H10" s="9">
        <f>IF(G10="","",MAX(0,2-(G10-C10)))</f>
        <v/>
      </c>
    </row>
    <row r="11">
      <c r="B11" s="16" t="n">
        <v>4</v>
      </c>
      <c r="C11" s="8" t="n">
        <v>5</v>
      </c>
      <c r="D11" s="8" t="n">
        <v>1</v>
      </c>
      <c r="E11" s="8" t="n">
        <v>7</v>
      </c>
      <c r="F11" s="12">
        <f>IF(OR(C11="",D11=""),"",MAX(0,INT($C$4/18)+IF(MOD($C$4,18)&gt;=D11,1,0)))</f>
        <v/>
      </c>
      <c r="G11" s="12">
        <f>IF(OR(E11="",F11=""),"",E11-F11)</f>
        <v/>
      </c>
      <c r="H11" s="9">
        <f>IF(G11="","",MAX(0,2-(G11-C11)))</f>
        <v/>
      </c>
    </row>
    <row r="12">
      <c r="B12" s="16" t="n">
        <v>5</v>
      </c>
      <c r="C12" s="8" t="n">
        <v>4</v>
      </c>
      <c r="D12" s="8" t="n">
        <v>7</v>
      </c>
      <c r="E12" s="8" t="n">
        <v>6</v>
      </c>
      <c r="F12" s="12">
        <f>IF(OR(C12="",D12=""),"",MAX(0,INT($C$4/18)+IF(MOD($C$4,18)&gt;=D12,1,0)))</f>
        <v/>
      </c>
      <c r="G12" s="12">
        <f>IF(OR(E12="",F12=""),"",E12-F12)</f>
        <v/>
      </c>
      <c r="H12" s="9">
        <f>IF(G12="","",MAX(0,2-(G12-C12)))</f>
        <v/>
      </c>
    </row>
    <row r="13">
      <c r="B13" s="16" t="n">
        <v>6</v>
      </c>
      <c r="C13" s="8" t="n">
        <v>4</v>
      </c>
      <c r="D13" s="8" t="n">
        <v>13</v>
      </c>
      <c r="E13" s="8" t="n">
        <v>4</v>
      </c>
      <c r="F13" s="12">
        <f>IF(OR(C13="",D13=""),"",MAX(0,INT($C$4/18)+IF(MOD($C$4,18)&gt;=D13,1,0)))</f>
        <v/>
      </c>
      <c r="G13" s="12">
        <f>IF(OR(E13="",F13=""),"",E13-F13)</f>
        <v/>
      </c>
      <c r="H13" s="9">
        <f>IF(G13="","",MAX(0,2-(G13-C13)))</f>
        <v/>
      </c>
    </row>
    <row r="14">
      <c r="B14" s="16" t="n">
        <v>7</v>
      </c>
      <c r="C14" s="8" t="n">
        <v>3</v>
      </c>
      <c r="D14" s="8" t="n">
        <v>15</v>
      </c>
      <c r="E14" s="8" t="n">
        <v>3</v>
      </c>
      <c r="F14" s="12">
        <f>IF(OR(C14="",D14=""),"",MAX(0,INT($C$4/18)+IF(MOD($C$4,18)&gt;=D14,1,0)))</f>
        <v/>
      </c>
      <c r="G14" s="12">
        <f>IF(OR(E14="",F14=""),"",E14-F14)</f>
        <v/>
      </c>
      <c r="H14" s="9">
        <f>IF(G14="","",MAX(0,2-(G14-C14)))</f>
        <v/>
      </c>
    </row>
    <row r="15">
      <c r="B15" s="16" t="n">
        <v>8</v>
      </c>
      <c r="C15" s="8" t="n">
        <v>4</v>
      </c>
      <c r="D15" s="8" t="n">
        <v>3</v>
      </c>
      <c r="E15" s="8" t="n">
        <v>6</v>
      </c>
      <c r="F15" s="12">
        <f>IF(OR(C15="",D15=""),"",MAX(0,INT($C$4/18)+IF(MOD($C$4,18)&gt;=D15,1,0)))</f>
        <v/>
      </c>
      <c r="G15" s="12">
        <f>IF(OR(E15="",F15=""),"",E15-F15)</f>
        <v/>
      </c>
      <c r="H15" s="9">
        <f>IF(G15="","",MAX(0,2-(G15-C15)))</f>
        <v/>
      </c>
    </row>
    <row r="16">
      <c r="B16" s="16" t="n">
        <v>9</v>
      </c>
      <c r="C16" s="8" t="n">
        <v>5</v>
      </c>
      <c r="D16" s="8" t="n">
        <v>9</v>
      </c>
      <c r="E16" s="8" t="n">
        <v>6</v>
      </c>
      <c r="F16" s="12">
        <f>IF(OR(C16="",D16=""),"",MAX(0,INT($C$4/18)+IF(MOD($C$4,18)&gt;=D16,1,0)))</f>
        <v/>
      </c>
      <c r="G16" s="12">
        <f>IF(OR(E16="",F16=""),"",E16-F16)</f>
        <v/>
      </c>
      <c r="H16" s="9">
        <f>IF(G16="","",MAX(0,2-(G16-C16)))</f>
        <v/>
      </c>
    </row>
    <row r="17">
      <c r="B17" s="16" t="n">
        <v>10</v>
      </c>
      <c r="C17" s="8" t="n">
        <v>4</v>
      </c>
      <c r="D17" s="8" t="n">
        <v>6</v>
      </c>
      <c r="E17" s="8" t="n">
        <v>5</v>
      </c>
      <c r="F17" s="12">
        <f>IF(OR(C17="",D17=""),"",MAX(0,INT($C$4/18)+IF(MOD($C$4,18)&gt;=D17,1,0)))</f>
        <v/>
      </c>
      <c r="G17" s="12">
        <f>IF(OR(E17="",F17=""),"",E17-F17)</f>
        <v/>
      </c>
      <c r="H17" s="9">
        <f>IF(G17="","",MAX(0,2-(G17-C17)))</f>
        <v/>
      </c>
    </row>
    <row r="18">
      <c r="B18" s="16" t="n">
        <v>11</v>
      </c>
      <c r="C18" s="8" t="n">
        <v>3</v>
      </c>
      <c r="D18" s="8" t="n">
        <v>18</v>
      </c>
      <c r="E18" s="8" t="n">
        <v>4</v>
      </c>
      <c r="F18" s="12">
        <f>IF(OR(C18="",D18=""),"",MAX(0,INT($C$4/18)+IF(MOD($C$4,18)&gt;=D18,1,0)))</f>
        <v/>
      </c>
      <c r="G18" s="12">
        <f>IF(OR(E18="",F18=""),"",E18-F18)</f>
        <v/>
      </c>
      <c r="H18" s="9">
        <f>IF(G18="","",MAX(0,2-(G18-C18)))</f>
        <v/>
      </c>
    </row>
    <row r="19">
      <c r="B19" s="16" t="n">
        <v>12</v>
      </c>
      <c r="C19" s="8" t="n">
        <v>5</v>
      </c>
      <c r="D19" s="8" t="n">
        <v>2</v>
      </c>
      <c r="E19" s="8" t="n">
        <v>6</v>
      </c>
      <c r="F19" s="12">
        <f>IF(OR(C19="",D19=""),"",MAX(0,INT($C$4/18)+IF(MOD($C$4,18)&gt;=D19,1,0)))</f>
        <v/>
      </c>
      <c r="G19" s="12">
        <f>IF(OR(E19="",F19=""),"",E19-F19)</f>
        <v/>
      </c>
      <c r="H19" s="9">
        <f>IF(G19="","",MAX(0,2-(G19-C19)))</f>
        <v/>
      </c>
    </row>
    <row r="20">
      <c r="B20" s="16" t="n">
        <v>13</v>
      </c>
      <c r="C20" s="8" t="n">
        <v>4</v>
      </c>
      <c r="D20" s="8" t="n">
        <v>12</v>
      </c>
      <c r="E20" s="8" t="n">
        <v>5</v>
      </c>
      <c r="F20" s="12">
        <f>IF(OR(C20="",D20=""),"",MAX(0,INT($C$4/18)+IF(MOD($C$4,18)&gt;=D20,1,0)))</f>
        <v/>
      </c>
      <c r="G20" s="12">
        <f>IF(OR(E20="",F20=""),"",E20-F20)</f>
        <v/>
      </c>
      <c r="H20" s="9">
        <f>IF(G20="","",MAX(0,2-(G20-C20)))</f>
        <v/>
      </c>
    </row>
    <row r="21">
      <c r="B21" s="16" t="n">
        <v>14</v>
      </c>
      <c r="C21" s="8" t="n">
        <v>4</v>
      </c>
      <c r="D21" s="8" t="n">
        <v>8</v>
      </c>
      <c r="E21" s="8" t="n">
        <v>5</v>
      </c>
      <c r="F21" s="12">
        <f>IF(OR(C21="",D21=""),"",MAX(0,INT($C$4/18)+IF(MOD($C$4,18)&gt;=D21,1,0)))</f>
        <v/>
      </c>
      <c r="G21" s="12">
        <f>IF(OR(E21="",F21=""),"",E21-F21)</f>
        <v/>
      </c>
      <c r="H21" s="9">
        <f>IF(G21="","",MAX(0,2-(G21-C21)))</f>
        <v/>
      </c>
    </row>
    <row r="22">
      <c r="B22" s="16" t="n">
        <v>15</v>
      </c>
      <c r="C22" s="8" t="n">
        <v>4</v>
      </c>
      <c r="D22" s="8" t="n">
        <v>4</v>
      </c>
      <c r="E22" s="8" t="n">
        <v>7</v>
      </c>
      <c r="F22" s="12">
        <f>IF(OR(C22="",D22=""),"",MAX(0,INT($C$4/18)+IF(MOD($C$4,18)&gt;=D22,1,0)))</f>
        <v/>
      </c>
      <c r="G22" s="12">
        <f>IF(OR(E22="",F22=""),"",E22-F22)</f>
        <v/>
      </c>
      <c r="H22" s="9">
        <f>IF(G22="","",MAX(0,2-(G22-C22)))</f>
        <v/>
      </c>
    </row>
    <row r="23">
      <c r="B23" s="16" t="n">
        <v>16</v>
      </c>
      <c r="C23" s="8" t="n">
        <v>3</v>
      </c>
      <c r="D23" s="8" t="n">
        <v>16</v>
      </c>
      <c r="E23" s="8" t="n">
        <v>4</v>
      </c>
      <c r="F23" s="12">
        <f>IF(OR(C23="",D23=""),"",MAX(0,INT($C$4/18)+IF(MOD($C$4,18)&gt;=D23,1,0)))</f>
        <v/>
      </c>
      <c r="G23" s="12">
        <f>IF(OR(E23="",F23=""),"",E23-F23)</f>
        <v/>
      </c>
      <c r="H23" s="9">
        <f>IF(G23="","",MAX(0,2-(G23-C23)))</f>
        <v/>
      </c>
    </row>
    <row r="24">
      <c r="B24" s="16" t="n">
        <v>17</v>
      </c>
      <c r="C24" s="8" t="n">
        <v>5</v>
      </c>
      <c r="D24" s="8" t="n">
        <v>10</v>
      </c>
      <c r="E24" s="8" t="n">
        <v>6</v>
      </c>
      <c r="F24" s="12">
        <f>IF(OR(C24="",D24=""),"",MAX(0,INT($C$4/18)+IF(MOD($C$4,18)&gt;=D24,1,0)))</f>
        <v/>
      </c>
      <c r="G24" s="12">
        <f>IF(OR(E24="",F24=""),"",E24-F24)</f>
        <v/>
      </c>
      <c r="H24" s="9">
        <f>IF(G24="","",MAX(0,2-(G24-C24)))</f>
        <v/>
      </c>
    </row>
    <row r="25">
      <c r="B25" s="16" t="n">
        <v>18</v>
      </c>
      <c r="C25" s="8" t="n">
        <v>4</v>
      </c>
      <c r="D25" s="8" t="n">
        <v>14</v>
      </c>
      <c r="E25" s="8" t="n">
        <v>5</v>
      </c>
      <c r="F25" s="12">
        <f>IF(OR(C25="",D25=""),"",MAX(0,INT($C$4/18)+IF(MOD($C$4,18)&gt;=D25,1,0)))</f>
        <v/>
      </c>
      <c r="G25" s="12">
        <f>IF(OR(E25="",F25=""),"",E25-F25)</f>
        <v/>
      </c>
      <c r="H25" s="9">
        <f>IF(G25="","",MAX(0,2-(G25-C25)))</f>
        <v/>
      </c>
    </row>
    <row r="26">
      <c r="B26" s="17" t="inlineStr">
        <is>
          <t>TOTAL</t>
        </is>
      </c>
      <c r="C26" s="18">
        <f>SUM(C8:C25)</f>
        <v/>
      </c>
      <c r="E26" s="18">
        <f>SUM(E8:E25)</f>
        <v/>
      </c>
      <c r="H26" s="18">
        <f>SUM(H8:H25)</f>
        <v/>
      </c>
    </row>
    <row r="28">
      <c r="B28" s="5" t="inlineStr">
        <is>
          <t>36 points is the benchmark: that is net par on every hole. Above 36 means you played better than your handicap that day.</t>
        </is>
      </c>
    </row>
    <row r="29">
      <c r="B29" s="5" t="inlineStr">
        <is>
          <t>A hole scoring 0 points cannot get any worse — pick the ball up and walk on. For handicap purposes that hole counts as a net double bogey.</t>
        </is>
      </c>
    </row>
    <row r="30">
      <c r="B30" s="5" t="inlineStr">
        <is>
          <t>Strokes follow the Stroke Index on the card, not the par. Over 18, the lowest Stroke Index holes take a second stroke; this sheet does that for you.</t>
        </is>
      </c>
    </row>
    <row r="31">
      <c r="B31" s="5" t="inlineStr">
        <is>
          <t>Plus handicaps are not handled here. The sheet never gives fewer than zero strokes on a hole.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2026-09-09T11:44:00Z</dcterms:created>
  <dcterms:modified xsi:type="dcterms:W3CDTF">2026-09-09T11:44:01Z</dcterms:modified>
</cp:coreProperties>
</file>